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9408" windowHeight="4608" firstSheet="1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<sst xmlns="http://schemas.openxmlformats.org/spreadsheetml/2006/main" count="84" uniqueCount="64">
  <si>
    <t>Оглавление</t>
  </si>
  <si>
    <t xml:space="preserve">   Расчёт числа витков</t>
  </si>
  <si>
    <t xml:space="preserve">  однослойной катушки</t>
  </si>
  <si>
    <t>Исходные данные:</t>
  </si>
  <si>
    <r>
      <t xml:space="preserve">Индуктивность (мкГн)  </t>
    </r>
    <r>
      <rPr>
        <b/>
        <sz val="10"/>
        <color indexed="12"/>
        <rFont val="Arial Cyr"/>
        <family val="2"/>
      </rPr>
      <t xml:space="preserve"> </t>
    </r>
  </si>
  <si>
    <t>Диаметр провода (мм)</t>
  </si>
  <si>
    <t>Диаметр оправки (мм)</t>
  </si>
  <si>
    <t>Длина катушки    (мм)</t>
  </si>
  <si>
    <t>Результаты :</t>
  </si>
  <si>
    <t>Количество витков</t>
  </si>
  <si>
    <t>Шаг намотки (мм)</t>
  </si>
  <si>
    <t xml:space="preserve">  лампового выходного каскада</t>
  </si>
  <si>
    <t>Рабочая частота (МгГц)</t>
  </si>
  <si>
    <t>Анодное напряжение (В)</t>
  </si>
  <si>
    <t>Анодный ток (А)</t>
  </si>
  <si>
    <t>Расчётная добротность</t>
  </si>
  <si>
    <t>Сопротивление нагрузки (Ом)</t>
  </si>
  <si>
    <t>Диаметр провода катушки (мм)</t>
  </si>
  <si>
    <t>Параметры контура:</t>
  </si>
  <si>
    <t>Индуктивность (мкГн)</t>
  </si>
  <si>
    <t>Емкость контура (пф)</t>
  </si>
  <si>
    <t>Емкость на входе (пф)</t>
  </si>
  <si>
    <t>Емкость на выходе (пф)</t>
  </si>
  <si>
    <t>Параметры оптимальной катушки:</t>
  </si>
  <si>
    <t>Число витков</t>
  </si>
  <si>
    <t>Длина обмотки (мм)</t>
  </si>
  <si>
    <t>Зазор между витками (мм)</t>
  </si>
  <si>
    <t>Расстояние от катушки до</t>
  </si>
  <si>
    <t>Расстояние катушки от</t>
  </si>
  <si>
    <t>Требуемая индуктивность</t>
  </si>
  <si>
    <t xml:space="preserve">Этому вибратору требуется </t>
  </si>
  <si>
    <t>"шляпа" диаметром (мм)</t>
  </si>
  <si>
    <t xml:space="preserve">Укороченная антенна с </t>
  </si>
  <si>
    <t>удлиняющей катушкой</t>
  </si>
  <si>
    <t xml:space="preserve">Двухдиапазонная антенна с трапом  </t>
  </si>
  <si>
    <t xml:space="preserve">катушки (мкГн)                </t>
  </si>
  <si>
    <t xml:space="preserve">       конца  вибратора  (мм)</t>
  </si>
  <si>
    <t xml:space="preserve">       точки     питания  (мм)</t>
  </si>
  <si>
    <t>Диаметр элемента  (мм)</t>
  </si>
  <si>
    <t>Иcходные данные:</t>
  </si>
  <si>
    <t>Вертикальная антенна со</t>
  </si>
  <si>
    <t xml:space="preserve"> "шляпой" в виде диска</t>
  </si>
  <si>
    <r>
      <t xml:space="preserve">                </t>
    </r>
    <r>
      <rPr>
        <b/>
        <sz val="14"/>
        <color indexed="12"/>
        <rFont val="Arial Cyr"/>
        <family val="2"/>
      </rPr>
      <t xml:space="preserve"> П-контур</t>
    </r>
  </si>
  <si>
    <t>произвольных размеров</t>
  </si>
  <si>
    <r>
      <t xml:space="preserve">  </t>
    </r>
    <r>
      <rPr>
        <b/>
        <sz val="10"/>
        <color indexed="12"/>
        <rFont val="Arial Cyr"/>
        <family val="2"/>
      </rPr>
      <t>Расчёт оптимальной катушки</t>
    </r>
  </si>
  <si>
    <t xml:space="preserve">Индуктивность (мкГн) </t>
  </si>
  <si>
    <t>Результат:</t>
  </si>
  <si>
    <t>Результаты:</t>
  </si>
  <si>
    <t>Большая частота (МгГц)</t>
  </si>
  <si>
    <t>Меньшая  частота (МгГц)</t>
  </si>
  <si>
    <t>Длина отрезка h2  (мм)</t>
  </si>
  <si>
    <t>Диаметр прооводника (мм)</t>
  </si>
  <si>
    <t>Длина отрезка h1 (мм)</t>
  </si>
  <si>
    <t>Индуктивность трапа  (мкГн)</t>
  </si>
  <si>
    <t>Емкость трапа (пикофарады)</t>
  </si>
  <si>
    <t>Результаты расчёта:</t>
  </si>
  <si>
    <t xml:space="preserve">                        Длина отрезка  h2  может быть выбрана произвольно,  но так, чтобы сумма </t>
  </si>
  <si>
    <t xml:space="preserve">большей из рабочих частот, т.к. является </t>
  </si>
  <si>
    <t xml:space="preserve">                        для неё полноразмерным четверть-волновым GP или половиной диполя.</t>
  </si>
  <si>
    <r>
      <t xml:space="preserve">Примечание:     </t>
    </r>
    <r>
      <rPr>
        <sz val="10"/>
        <rFont val="Arial Cyr"/>
        <family val="0"/>
      </rPr>
      <t xml:space="preserve">Длина отрезка h1 определяется </t>
    </r>
  </si>
  <si>
    <t xml:space="preserve">                        длин отрезков h1 и h2 была меньше 1/4 волны для меньшей из частот.</t>
  </si>
  <si>
    <t>73, UA4RO</t>
  </si>
  <si>
    <r>
      <t xml:space="preserve">Высота вибратора </t>
    </r>
    <r>
      <rPr>
        <b/>
        <sz val="10"/>
        <color indexed="12"/>
        <rFont val="Arial Cyr"/>
        <family val="2"/>
      </rPr>
      <t>H</t>
    </r>
    <r>
      <rPr>
        <sz val="10"/>
        <color indexed="12"/>
        <rFont val="Arial Cyr"/>
        <family val="2"/>
      </rPr>
      <t xml:space="preserve"> (мм)</t>
    </r>
  </si>
  <si>
    <r>
      <t xml:space="preserve">     диск диаметром  </t>
    </r>
    <r>
      <rPr>
        <b/>
        <sz val="10"/>
        <color indexed="10"/>
        <rFont val="Arial Cyr"/>
        <family val="2"/>
      </rPr>
      <t>D</t>
    </r>
    <r>
      <rPr>
        <sz val="10"/>
        <color indexed="10"/>
        <rFont val="Arial Cyr"/>
        <family val="2"/>
      </rPr>
      <t xml:space="preserve"> (мм)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</si>
</sst>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</numFmts>
  <fonts count="17">
    <font>
      <sz val="10"/>
      <name val="Arial Cyr"/>
      <family val="0"/>
    </font>
    <font>
      <sz val="20"/>
      <name val="Arial Cyr"/>
      <family val="2"/>
    </font>
    <font>
      <b/>
      <sz val="18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b/>
      <u val="single"/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12"/>
      <name val="Arial Cyr"/>
      <family val="2"/>
    </font>
    <font>
      <b/>
      <sz val="14"/>
      <color indexed="12"/>
      <name val="Arial Cyr"/>
      <family val="2"/>
    </font>
    <font>
      <u val="single"/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2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5" xfId="0" applyFont="1" applyBorder="1" applyAlignment="1">
      <alignment/>
    </xf>
    <xf numFmtId="0" fontId="13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6" fillId="0" borderId="6" xfId="0" applyFont="1" applyBorder="1" applyAlignment="1" applyProtection="1">
      <alignment/>
      <protection hidden="1" locked="0"/>
    </xf>
    <xf numFmtId="0" fontId="6" fillId="0" borderId="3" xfId="0" applyFont="1" applyBorder="1" applyAlignment="1" applyProtection="1">
      <alignment/>
      <protection hidden="1" locked="0"/>
    </xf>
    <xf numFmtId="0" fontId="4" fillId="0" borderId="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7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3" fillId="0" borderId="8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3" fillId="0" borderId="0" xfId="0" applyNumberFormat="1" applyFont="1" applyBorder="1" applyAlignment="1" applyProtection="1">
      <alignment/>
      <protection hidden="1"/>
    </xf>
    <xf numFmtId="0" fontId="7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5" xfId="0" applyFont="1" applyBorder="1" applyAlignment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95250</xdr:rowOff>
    </xdr:from>
    <xdr:to>
      <xdr:col>7</xdr:col>
      <xdr:colOff>200025</xdr:colOff>
      <xdr:row>25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5250"/>
          <a:ext cx="17145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104775</xdr:colOff>
      <xdr:row>16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14763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10</xdr:row>
      <xdr:rowOff>142875</xdr:rowOff>
    </xdr:from>
    <xdr:to>
      <xdr:col>8</xdr:col>
      <xdr:colOff>47625</xdr:colOff>
      <xdr:row>12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953000" y="13144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Точка питания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H15" sqref="H15"/>
    </sheetView>
  </sheetViews>
  <sheetFormatPr defaultColWidth="9.00390625" defaultRowHeight="12.75"/>
  <sheetData>
    <row r="1" ht="22.5">
      <c r="A1" s="2" t="s">
        <v>0</v>
      </c>
    </row>
    <row r="7" ht="12.75" customHeight="1"/>
    <row r="9" ht="12.75" customHeight="1">
      <c r="F9" s="1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6" sqref="A16"/>
    </sheetView>
  </sheetViews>
  <sheetFormatPr defaultColWidth="9.00390625" defaultRowHeight="12.75"/>
  <sheetData>
    <row r="1" spans="1:3" ht="12.75">
      <c r="A1" s="5" t="s">
        <v>1</v>
      </c>
      <c r="B1" s="5"/>
      <c r="C1" s="5"/>
    </row>
    <row r="2" spans="1:3" ht="12.75">
      <c r="A2" s="5" t="s">
        <v>2</v>
      </c>
      <c r="B2" s="5"/>
      <c r="C2" s="5"/>
    </row>
    <row r="3" spans="1:3" ht="12.75">
      <c r="A3" s="5" t="s">
        <v>43</v>
      </c>
      <c r="B3" s="5"/>
      <c r="C3" s="5"/>
    </row>
    <row r="4" spans="1:3" ht="13.5" thickBot="1">
      <c r="A4" s="4"/>
      <c r="B4" s="3"/>
      <c r="C4" s="3"/>
    </row>
    <row r="5" spans="1:4" ht="12.75">
      <c r="A5" s="28" t="s">
        <v>3</v>
      </c>
      <c r="B5" s="32"/>
      <c r="C5" s="32"/>
      <c r="D5" s="62"/>
    </row>
    <row r="6" spans="1:4" ht="12.75">
      <c r="A6" s="33" t="s">
        <v>4</v>
      </c>
      <c r="B6" s="34"/>
      <c r="C6" s="34"/>
      <c r="D6" s="60">
        <v>1</v>
      </c>
    </row>
    <row r="7" spans="1:4" ht="12.75">
      <c r="A7" s="33" t="s">
        <v>5</v>
      </c>
      <c r="B7" s="35"/>
      <c r="C7" s="35"/>
      <c r="D7" s="60">
        <v>0.8</v>
      </c>
    </row>
    <row r="8" spans="1:4" ht="12.75">
      <c r="A8" s="33" t="s">
        <v>6</v>
      </c>
      <c r="B8" s="35"/>
      <c r="C8" s="35"/>
      <c r="D8" s="60">
        <v>10</v>
      </c>
    </row>
    <row r="9" spans="1:4" ht="13.5" thickBot="1">
      <c r="A9" s="36" t="s">
        <v>7</v>
      </c>
      <c r="B9" s="37"/>
      <c r="C9" s="37"/>
      <c r="D9" s="63">
        <v>9</v>
      </c>
    </row>
    <row r="10" spans="1:3" ht="12.75" hidden="1">
      <c r="A10">
        <f>0.1*D7</f>
        <v>0.08000000000000002</v>
      </c>
      <c r="B10">
        <f>0.1*D8</f>
        <v>1</v>
      </c>
      <c r="C10">
        <f>0.1*D9</f>
        <v>0.9</v>
      </c>
    </row>
    <row r="11" spans="1:2" ht="12.75" hidden="1">
      <c r="A11">
        <f>2.3/(2.3+((D8+D7)/D9))</f>
        <v>0.6571428571428571</v>
      </c>
      <c r="B11">
        <v>3.14159</v>
      </c>
    </row>
    <row r="13" spans="1:4" ht="12.75">
      <c r="A13" s="30" t="s">
        <v>8</v>
      </c>
      <c r="B13" s="31"/>
      <c r="C13" s="14"/>
      <c r="D13" s="14"/>
    </row>
    <row r="14" spans="1:4" ht="12.75">
      <c r="A14" s="18" t="s">
        <v>9</v>
      </c>
      <c r="B14" s="18"/>
      <c r="C14" s="19"/>
      <c r="D14" s="56">
        <f>ROUND(SQRT(1000*D6*C10/(B11^2*(B10+C10)^2*A11)),1)</f>
        <v>6.2</v>
      </c>
    </row>
    <row r="15" spans="1:4" ht="12.75">
      <c r="A15" s="18" t="s">
        <v>10</v>
      </c>
      <c r="B15" s="18"/>
      <c r="C15" s="19"/>
      <c r="D15" s="56">
        <f>ROUND(D9/D14,1)</f>
        <v>1.5</v>
      </c>
    </row>
    <row r="16" ht="12.75">
      <c r="A16" t="s">
        <v>61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7">
      <selection activeCell="A13" sqref="A13"/>
    </sheetView>
  </sheetViews>
  <sheetFormatPr defaultColWidth="9.00390625" defaultRowHeight="12.75"/>
  <cols>
    <col min="4" max="4" width="10.25390625" style="0" bestFit="1" customWidth="1"/>
  </cols>
  <sheetData>
    <row r="1" ht="12.75">
      <c r="A1" t="s">
        <v>44</v>
      </c>
    </row>
    <row r="2" ht="13.5" thickBot="1"/>
    <row r="3" spans="1:4" ht="12.75">
      <c r="A3" s="28" t="s">
        <v>3</v>
      </c>
      <c r="B3" s="8"/>
      <c r="C3" s="8"/>
      <c r="D3" s="62"/>
    </row>
    <row r="4" spans="1:4" ht="12.75">
      <c r="A4" s="33" t="s">
        <v>45</v>
      </c>
      <c r="B4" s="35"/>
      <c r="C4" s="35"/>
      <c r="D4" s="60">
        <v>1.4</v>
      </c>
    </row>
    <row r="5" spans="1:4" ht="13.5" thickBot="1">
      <c r="A5" s="36" t="s">
        <v>5</v>
      </c>
      <c r="B5" s="37"/>
      <c r="C5" s="37"/>
      <c r="D5" s="63">
        <v>4</v>
      </c>
    </row>
    <row r="6" spans="1:3" ht="12.75">
      <c r="A6" s="38"/>
      <c r="B6" s="6"/>
      <c r="C6" s="6"/>
    </row>
    <row r="7" ht="12.75">
      <c r="A7" s="4" t="s">
        <v>47</v>
      </c>
    </row>
    <row r="8" spans="1:4" ht="12.75">
      <c r="A8" s="26" t="s">
        <v>6</v>
      </c>
      <c r="B8" s="11"/>
      <c r="C8" s="11"/>
      <c r="D8" s="56">
        <f>ROUND(3.2527*D9*D5,)-D5</f>
        <v>56</v>
      </c>
    </row>
    <row r="9" spans="1:4" ht="12.75">
      <c r="A9" s="26" t="s">
        <v>24</v>
      </c>
      <c r="B9" s="11"/>
      <c r="C9" s="11"/>
      <c r="D9" s="68">
        <f>ROUND((1000*D4/(36.918*(D5/10)))^(1/3),1)</f>
        <v>4.6</v>
      </c>
    </row>
    <row r="10" spans="1:4" ht="12.75">
      <c r="A10" s="26" t="s">
        <v>25</v>
      </c>
      <c r="B10" s="11"/>
      <c r="C10" s="11"/>
      <c r="D10" s="56">
        <f>ROUND((D9*D5*1.41)-D5,1)</f>
        <v>21.9</v>
      </c>
    </row>
    <row r="11" spans="1:4" ht="12.75">
      <c r="A11" s="26" t="s">
        <v>10</v>
      </c>
      <c r="B11" s="11"/>
      <c r="C11" s="11"/>
      <c r="D11" s="56">
        <f>ROUND(1.41*D5,1)</f>
        <v>5.6</v>
      </c>
    </row>
    <row r="12" spans="1:4" ht="12.75">
      <c r="A12" s="26" t="s">
        <v>26</v>
      </c>
      <c r="B12" s="11"/>
      <c r="C12" s="11"/>
      <c r="D12" s="56">
        <f>ROUND(1.41*D5-D5,1)</f>
        <v>1.6</v>
      </c>
    </row>
    <row r="13" spans="1:2" ht="12.75">
      <c r="A13" s="14" t="s">
        <v>61</v>
      </c>
      <c r="B13" s="14"/>
    </row>
    <row r="15" ht="12.75" hidden="1"/>
  </sheetData>
  <sheetProtection sheet="1" objects="1" scenarios="1"/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6">
      <selection activeCell="A24" sqref="A24"/>
    </sheetView>
  </sheetViews>
  <sheetFormatPr defaultColWidth="9.00390625" defaultRowHeight="12.75"/>
  <sheetData>
    <row r="1" spans="1:4" ht="17.25">
      <c r="A1" s="39" t="s">
        <v>42</v>
      </c>
      <c r="B1" s="27"/>
      <c r="C1" s="27"/>
      <c r="D1" s="27"/>
    </row>
    <row r="2" spans="1:4" ht="15">
      <c r="A2" s="39" t="s">
        <v>11</v>
      </c>
      <c r="B2" s="27"/>
      <c r="C2" s="27"/>
      <c r="D2" s="27"/>
    </row>
    <row r="3" ht="15" thickBot="1">
      <c r="A3" s="7"/>
    </row>
    <row r="4" spans="1:4" ht="12.75">
      <c r="A4" s="22" t="s">
        <v>3</v>
      </c>
      <c r="B4" s="23"/>
      <c r="C4" s="8"/>
      <c r="D4" s="9"/>
    </row>
    <row r="5" spans="1:4" ht="12.75">
      <c r="A5" s="24" t="s">
        <v>12</v>
      </c>
      <c r="B5" s="10"/>
      <c r="C5" s="11"/>
      <c r="D5" s="46">
        <v>14.2</v>
      </c>
    </row>
    <row r="6" spans="1:4" ht="12.75">
      <c r="A6" s="24" t="s">
        <v>13</v>
      </c>
      <c r="B6" s="12"/>
      <c r="C6" s="11"/>
      <c r="D6" s="46">
        <v>1500</v>
      </c>
    </row>
    <row r="7" spans="1:4" ht="12.75">
      <c r="A7" s="24" t="s">
        <v>14</v>
      </c>
      <c r="B7" s="10"/>
      <c r="C7" s="10"/>
      <c r="D7" s="46">
        <v>0.6</v>
      </c>
    </row>
    <row r="8" spans="1:4" ht="12.75">
      <c r="A8" s="24" t="s">
        <v>15</v>
      </c>
      <c r="B8" s="10"/>
      <c r="C8" s="10"/>
      <c r="D8" s="46">
        <v>12</v>
      </c>
    </row>
    <row r="9" spans="1:4" ht="12.75">
      <c r="A9" s="24" t="s">
        <v>16</v>
      </c>
      <c r="B9" s="10"/>
      <c r="C9" s="10"/>
      <c r="D9" s="46">
        <v>50</v>
      </c>
    </row>
    <row r="10" spans="1:4" ht="13.5" thickBot="1">
      <c r="A10" s="25" t="s">
        <v>17</v>
      </c>
      <c r="B10" s="13"/>
      <c r="C10" s="13"/>
      <c r="D10" s="49">
        <v>4</v>
      </c>
    </row>
    <row r="11" spans="1:4" ht="12" customHeight="1" hidden="1">
      <c r="A11" s="11"/>
      <c r="B11" s="10"/>
      <c r="C11" s="10"/>
      <c r="D11" s="14"/>
    </row>
    <row r="12" spans="1:4" ht="12" customHeight="1" hidden="1">
      <c r="A12" s="20" t="s">
        <v>18</v>
      </c>
      <c r="B12" s="21"/>
      <c r="C12" s="17"/>
      <c r="D12" s="14"/>
    </row>
    <row r="13" spans="1:4" ht="12.75" customHeight="1">
      <c r="A13" s="26" t="s">
        <v>19</v>
      </c>
      <c r="B13" s="11"/>
      <c r="C13" s="11"/>
      <c r="D13" s="58">
        <f>ROUND(D6/(4*3.14159*D7*D5*D8),1)</f>
        <v>1.2</v>
      </c>
    </row>
    <row r="14" spans="1:4" ht="12.75" customHeight="1" hidden="1">
      <c r="A14" s="26" t="s">
        <v>20</v>
      </c>
      <c r="B14" s="11"/>
      <c r="C14" s="11"/>
      <c r="D14" s="58">
        <f>250000/(3.14159^2*D5^2*D13)</f>
        <v>104.68466368201562</v>
      </c>
    </row>
    <row r="15" spans="1:4" ht="12.75">
      <c r="A15" s="26" t="s">
        <v>21</v>
      </c>
      <c r="B15" s="11"/>
      <c r="C15" s="11"/>
      <c r="D15" s="58">
        <f>ROUND(D14*((((0.5*D6/D7)/D9)^0.5)+1)/((0.5*D6/D7)/D9)^0.5,)</f>
        <v>126</v>
      </c>
    </row>
    <row r="16" spans="1:4" ht="12.75">
      <c r="A16" s="26" t="s">
        <v>22</v>
      </c>
      <c r="B16" s="11"/>
      <c r="C16" s="11"/>
      <c r="D16" s="58">
        <f>ROUND(D15*((0.5*D6/D7)/D9)^0.5,)</f>
        <v>630</v>
      </c>
    </row>
    <row r="17" spans="1:4" ht="12.75" customHeight="1" hidden="1">
      <c r="A17" s="15"/>
      <c r="B17" s="10"/>
      <c r="C17" s="10"/>
      <c r="D17" s="58"/>
    </row>
    <row r="18" spans="1:4" ht="12.75">
      <c r="A18" s="16" t="s">
        <v>23</v>
      </c>
      <c r="B18" s="17"/>
      <c r="C18" s="17"/>
      <c r="D18" s="66"/>
    </row>
    <row r="19" spans="1:4" ht="12.75">
      <c r="A19" s="26" t="s">
        <v>6</v>
      </c>
      <c r="B19" s="11"/>
      <c r="C19" s="11"/>
      <c r="D19" s="58">
        <f>ROUND(2.3*1.41*D20*D10-D10,)</f>
        <v>52</v>
      </c>
    </row>
    <row r="20" spans="1:4" ht="12.75">
      <c r="A20" s="26" t="s">
        <v>24</v>
      </c>
      <c r="B20" s="11"/>
      <c r="C20" s="11"/>
      <c r="D20" s="67">
        <f>ROUND((1000*D13/(36.918*(D10/10)))^(1/3),1)</f>
        <v>4.3</v>
      </c>
    </row>
    <row r="21" spans="1:4" ht="12.75">
      <c r="A21" s="26" t="s">
        <v>25</v>
      </c>
      <c r="B21" s="11"/>
      <c r="C21" s="11"/>
      <c r="D21" s="58">
        <f>ROUND(D20*1.41*D10-D10,1)</f>
        <v>20.3</v>
      </c>
    </row>
    <row r="22" spans="1:4" ht="12.75">
      <c r="A22" s="26" t="s">
        <v>10</v>
      </c>
      <c r="B22" s="11"/>
      <c r="C22" s="11"/>
      <c r="D22" s="58">
        <f>ROUND(1.41*D10,1)</f>
        <v>5.6</v>
      </c>
    </row>
    <row r="23" spans="1:4" ht="12.75">
      <c r="A23" s="26" t="s">
        <v>26</v>
      </c>
      <c r="B23" s="11"/>
      <c r="C23" s="11"/>
      <c r="D23" s="58">
        <f>ROUND(1.41*D10-D10,1)</f>
        <v>1.6</v>
      </c>
    </row>
    <row r="24" spans="1:2" ht="12.75">
      <c r="A24" s="14" t="s">
        <v>61</v>
      </c>
      <c r="B24" s="14"/>
    </row>
  </sheetData>
  <sheetProtection sheet="1" objects="1" scenarios="1"/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21" sqref="A21"/>
    </sheetView>
  </sheetViews>
  <sheetFormatPr defaultColWidth="9.00390625" defaultRowHeight="12.75"/>
  <sheetData>
    <row r="1" spans="1:8" ht="12.75">
      <c r="A1" s="69" t="s">
        <v>40</v>
      </c>
      <c r="B1" s="57"/>
      <c r="C1" s="57"/>
      <c r="D1" s="65"/>
      <c r="E1" s="65"/>
      <c r="F1" s="65"/>
      <c r="G1" s="65"/>
      <c r="H1" s="65"/>
    </row>
    <row r="2" spans="1:8" ht="12.75">
      <c r="A2" s="69" t="s">
        <v>41</v>
      </c>
      <c r="B2" s="57"/>
      <c r="C2" s="57"/>
      <c r="D2" s="65"/>
      <c r="E2" s="65"/>
      <c r="F2" s="65"/>
      <c r="G2" s="65"/>
      <c r="H2" s="65"/>
    </row>
    <row r="3" spans="1:8" ht="13.5" thickBot="1">
      <c r="A3" s="69"/>
      <c r="B3" s="65"/>
      <c r="C3" s="65"/>
      <c r="D3" s="65"/>
      <c r="E3" s="65"/>
      <c r="F3" s="65"/>
      <c r="G3" s="65"/>
      <c r="H3" s="65"/>
    </row>
    <row r="4" spans="1:8" ht="12.75">
      <c r="A4" s="70" t="s">
        <v>39</v>
      </c>
      <c r="B4" s="71"/>
      <c r="C4" s="72"/>
      <c r="D4" s="73"/>
      <c r="E4" s="65"/>
      <c r="F4" s="65"/>
      <c r="G4" s="65"/>
      <c r="H4" s="65"/>
    </row>
    <row r="5" spans="1:8" ht="12.75">
      <c r="A5" s="74" t="s">
        <v>12</v>
      </c>
      <c r="B5" s="64"/>
      <c r="C5" s="64"/>
      <c r="D5" s="60">
        <v>14.2</v>
      </c>
      <c r="E5" s="65"/>
      <c r="F5" s="65"/>
      <c r="G5" s="65"/>
      <c r="H5" s="65"/>
    </row>
    <row r="6" spans="1:8" ht="12.75" customHeight="1" thickBot="1">
      <c r="A6" s="75" t="s">
        <v>62</v>
      </c>
      <c r="B6" s="76"/>
      <c r="C6" s="76"/>
      <c r="D6" s="63">
        <v>4000</v>
      </c>
      <c r="E6" s="65"/>
      <c r="F6" s="65"/>
      <c r="G6" s="65"/>
      <c r="H6" s="65"/>
    </row>
    <row r="7" spans="1:8" ht="0" customHeight="1" hidden="1">
      <c r="A7" s="64">
        <v>3.14159</v>
      </c>
      <c r="B7" s="64">
        <f>71000/D5</f>
        <v>5000</v>
      </c>
      <c r="C7" s="64">
        <f>B7-D6</f>
        <v>1000</v>
      </c>
      <c r="D7" s="64"/>
      <c r="E7" s="65"/>
      <c r="F7" s="65"/>
      <c r="G7" s="65"/>
      <c r="H7" s="65"/>
    </row>
    <row r="8" spans="1:8" ht="14.25" customHeight="1" hidden="1">
      <c r="A8" s="64">
        <f>C7/A7</f>
        <v>318.31015504887654</v>
      </c>
      <c r="B8" s="64"/>
      <c r="C8" s="64"/>
      <c r="D8" s="64"/>
      <c r="E8" s="65"/>
      <c r="F8" s="65"/>
      <c r="G8" s="65"/>
      <c r="H8" s="65"/>
    </row>
    <row r="9" spans="1:8" ht="12.75" customHeight="1">
      <c r="A9" s="65"/>
      <c r="B9" s="65"/>
      <c r="C9" s="65"/>
      <c r="D9" s="65"/>
      <c r="E9" s="65"/>
      <c r="F9" s="65"/>
      <c r="G9" s="65"/>
      <c r="H9" s="65"/>
    </row>
    <row r="10" spans="1:8" ht="12.75" customHeight="1">
      <c r="A10" s="77" t="s">
        <v>46</v>
      </c>
      <c r="B10" s="65"/>
      <c r="C10" s="65"/>
      <c r="D10" s="65"/>
      <c r="E10" s="65"/>
      <c r="F10" s="65"/>
      <c r="G10" s="65"/>
      <c r="H10" s="65"/>
    </row>
    <row r="11" spans="1:8" ht="12.75">
      <c r="A11" s="56" t="s">
        <v>30</v>
      </c>
      <c r="B11" s="64"/>
      <c r="C11" s="64"/>
      <c r="D11" s="64"/>
      <c r="E11" s="65"/>
      <c r="F11" s="65"/>
      <c r="G11" s="65"/>
      <c r="H11" s="65"/>
    </row>
    <row r="12" spans="1:8" ht="12.75" hidden="1">
      <c r="A12" s="56" t="s">
        <v>31</v>
      </c>
      <c r="B12" s="56"/>
      <c r="C12" s="56"/>
      <c r="D12" s="56">
        <f>ROUND(A8,1)</f>
        <v>318.3</v>
      </c>
      <c r="E12" s="65"/>
      <c r="F12" s="65"/>
      <c r="G12" s="65"/>
      <c r="H12" s="65"/>
    </row>
    <row r="13" spans="1:8" ht="12.75" hidden="1">
      <c r="A13" s="65"/>
      <c r="B13" s="65"/>
      <c r="C13" s="65"/>
      <c r="D13" s="65"/>
      <c r="E13" s="65"/>
      <c r="F13" s="65"/>
      <c r="G13" s="65"/>
      <c r="H13" s="65"/>
    </row>
    <row r="14" spans="1:8" ht="12.75" hidden="1">
      <c r="A14" s="65"/>
      <c r="B14" s="65"/>
      <c r="C14" s="65"/>
      <c r="D14" s="65"/>
      <c r="E14" s="65"/>
      <c r="F14" s="65"/>
      <c r="G14" s="65"/>
      <c r="H14" s="65"/>
    </row>
    <row r="15" spans="1:8" ht="12.75" hidden="1">
      <c r="A15" s="65"/>
      <c r="B15" s="65"/>
      <c r="C15" s="65"/>
      <c r="D15" s="65"/>
      <c r="E15" s="65"/>
      <c r="F15" s="65"/>
      <c r="G15" s="65"/>
      <c r="H15" s="65"/>
    </row>
    <row r="16" spans="1:8" ht="12.75" hidden="1">
      <c r="A16" s="65"/>
      <c r="B16" s="65"/>
      <c r="C16" s="65"/>
      <c r="D16" s="65"/>
      <c r="E16" s="65"/>
      <c r="F16" s="65"/>
      <c r="G16" s="65"/>
      <c r="H16" s="65"/>
    </row>
    <row r="17" spans="1:8" ht="12.75" hidden="1">
      <c r="A17" s="65"/>
      <c r="B17" s="65"/>
      <c r="C17" s="65"/>
      <c r="D17" s="65"/>
      <c r="E17" s="65"/>
      <c r="F17" s="65"/>
      <c r="G17" s="65"/>
      <c r="H17" s="65"/>
    </row>
    <row r="18" spans="1:8" ht="12.75" hidden="1">
      <c r="A18" s="65"/>
      <c r="B18" s="65"/>
      <c r="C18" s="65"/>
      <c r="D18" s="65"/>
      <c r="E18" s="65"/>
      <c r="F18" s="65"/>
      <c r="G18" s="65"/>
      <c r="H18" s="65"/>
    </row>
    <row r="19" spans="1:8" ht="12.75">
      <c r="A19" s="57" t="s">
        <v>63</v>
      </c>
      <c r="B19" s="57"/>
      <c r="C19" s="57"/>
      <c r="D19" s="65">
        <f>ROUND(A8,1)</f>
        <v>318.3</v>
      </c>
      <c r="E19" s="65"/>
      <c r="F19" s="65"/>
      <c r="G19" s="65"/>
      <c r="H19" s="65"/>
    </row>
    <row r="20" spans="1:8" ht="12.75">
      <c r="A20" s="65" t="s">
        <v>61</v>
      </c>
      <c r="B20" s="65"/>
      <c r="C20" s="65"/>
      <c r="D20" s="65"/>
      <c r="E20" s="65"/>
      <c r="F20" s="65"/>
      <c r="G20" s="65"/>
      <c r="H20" s="65"/>
    </row>
    <row r="21" spans="5:7" ht="12.75" customHeight="1">
      <c r="E21" s="14"/>
      <c r="F21" s="14"/>
      <c r="G21" s="14"/>
    </row>
    <row r="22" spans="5:7" ht="12.75" hidden="1">
      <c r="E22" s="14"/>
      <c r="F22" s="14"/>
      <c r="G22" s="14"/>
    </row>
    <row r="23" spans="5:7" ht="12.75" hidden="1">
      <c r="E23" s="14"/>
      <c r="F23" s="14"/>
      <c r="G23" s="14"/>
    </row>
    <row r="24" spans="5:7" ht="12.75" hidden="1">
      <c r="E24" s="14"/>
      <c r="F24" s="14"/>
      <c r="G24" s="14"/>
    </row>
    <row r="25" spans="5:7" ht="12.75" hidden="1">
      <c r="E25" s="14"/>
      <c r="F25" s="14"/>
      <c r="G25" s="14"/>
    </row>
    <row r="26" spans="5:7" ht="12.75">
      <c r="E26" s="14"/>
      <c r="F26" s="14"/>
      <c r="G26" s="14"/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A19" sqref="A19"/>
    </sheetView>
  </sheetViews>
  <sheetFormatPr defaultColWidth="9.00390625" defaultRowHeight="12.75"/>
  <sheetData>
    <row r="1" spans="1:4" ht="12.75">
      <c r="A1" s="5" t="s">
        <v>32</v>
      </c>
      <c r="B1" s="27"/>
      <c r="C1" s="27"/>
      <c r="D1" s="6"/>
    </row>
    <row r="2" spans="1:4" ht="12.75">
      <c r="A2" s="5" t="s">
        <v>33</v>
      </c>
      <c r="B2" s="5"/>
      <c r="C2" s="5"/>
      <c r="D2" s="3"/>
    </row>
    <row r="3" spans="1:4" ht="13.5" thickBot="1">
      <c r="A3" s="4"/>
      <c r="B3" s="4"/>
      <c r="C3" s="4"/>
      <c r="D3" s="4"/>
    </row>
    <row r="4" spans="1:4" ht="12.75">
      <c r="A4" s="28" t="s">
        <v>3</v>
      </c>
      <c r="B4" s="29"/>
      <c r="C4" s="29"/>
      <c r="D4" s="62"/>
    </row>
    <row r="5" spans="1:4" ht="12.75">
      <c r="A5" s="44" t="s">
        <v>12</v>
      </c>
      <c r="B5" s="45"/>
      <c r="C5" s="45"/>
      <c r="D5" s="59">
        <v>145</v>
      </c>
    </row>
    <row r="6" spans="1:4" ht="12.75">
      <c r="A6" s="44" t="s">
        <v>27</v>
      </c>
      <c r="B6" s="45"/>
      <c r="C6" s="45"/>
      <c r="D6" s="60"/>
    </row>
    <row r="7" spans="1:4" ht="12.75" customHeight="1">
      <c r="A7" s="44" t="s">
        <v>36</v>
      </c>
      <c r="B7" s="45"/>
      <c r="C7" s="45"/>
      <c r="D7" s="59">
        <v>300</v>
      </c>
    </row>
    <row r="8" spans="1:4" ht="12.75" customHeight="1">
      <c r="A8" s="44" t="s">
        <v>28</v>
      </c>
      <c r="B8" s="45"/>
      <c r="C8" s="45"/>
      <c r="D8" s="60"/>
    </row>
    <row r="9" spans="1:4" ht="12.75">
      <c r="A9" s="44" t="s">
        <v>37</v>
      </c>
      <c r="B9" s="45"/>
      <c r="C9" s="45"/>
      <c r="D9" s="59">
        <v>55</v>
      </c>
    </row>
    <row r="10" spans="1:4" ht="13.5" thickBot="1">
      <c r="A10" s="47" t="s">
        <v>38</v>
      </c>
      <c r="B10" s="48"/>
      <c r="C10" s="48"/>
      <c r="D10" s="61">
        <v>2</v>
      </c>
    </row>
    <row r="11" spans="1:3" ht="14.25" customHeight="1" hidden="1">
      <c r="A11">
        <f>3.14159</f>
        <v>3.14159</v>
      </c>
      <c r="B11">
        <f>D9/304.8</f>
        <v>0.18044619422572178</v>
      </c>
      <c r="C11">
        <f>D10/25.4</f>
        <v>0.07874015748031496</v>
      </c>
    </row>
    <row r="12" spans="1:3" ht="13.5" customHeight="1" hidden="1">
      <c r="A12">
        <f>(234/D5)-B11</f>
        <v>1.433346909222554</v>
      </c>
      <c r="B12">
        <f>LN(24*A12/C11)-1</f>
        <v>5.079668029349663</v>
      </c>
      <c r="C12">
        <f>D7/304.8</f>
        <v>0.9842519685039369</v>
      </c>
    </row>
    <row r="13" spans="1:3" ht="14.25" customHeight="1" hidden="1">
      <c r="A13">
        <f>(1/A12)*B12*(((1-D5*B11/234)^2)-1)</f>
        <v>-0.7482185016568348</v>
      </c>
      <c r="B13">
        <f>(1/C12)*C13*(((C12*D5/234)^2)-1)</f>
        <v>-3.0013457000547987</v>
      </c>
      <c r="C13">
        <f>LN(24*C12/C11)-1</f>
        <v>4.703782474656201</v>
      </c>
    </row>
    <row r="15" ht="12.75">
      <c r="A15" s="4" t="s">
        <v>46</v>
      </c>
    </row>
    <row r="16" spans="1:4" ht="12.75">
      <c r="A16" s="18" t="s">
        <v>29</v>
      </c>
      <c r="B16" s="18"/>
      <c r="C16" s="18"/>
      <c r="D16" s="55"/>
    </row>
    <row r="17" spans="1:4" ht="12.75">
      <c r="A17" s="18" t="s">
        <v>35</v>
      </c>
      <c r="B17" s="18"/>
      <c r="C17" s="18"/>
      <c r="D17" s="58">
        <f>ROUND(C18,2)</f>
        <v>0.16</v>
      </c>
    </row>
    <row r="18" spans="1:4" ht="12.75" hidden="1">
      <c r="A18" s="14">
        <f>1/A12</f>
        <v>0.6976678106086677</v>
      </c>
      <c r="B18" s="14">
        <f>((1-D5*B11/234)^2)-1</f>
        <v>-0.21112731591443357</v>
      </c>
      <c r="C18" s="14">
        <f>10^6*(A13-B13)/((68*A11^2)*D5^2)</f>
        <v>0.1596767855457245</v>
      </c>
      <c r="D18" s="14"/>
    </row>
    <row r="19" ht="12.75">
      <c r="A19" t="s">
        <v>61</v>
      </c>
    </row>
  </sheetData>
  <sheetProtection sheet="1" objects="1" scenarios="1"/>
  <printOptions/>
  <pageMargins left="0.75" right="0.75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6">
      <selection activeCell="A22" sqref="A22"/>
    </sheetView>
  </sheetViews>
  <sheetFormatPr defaultColWidth="9.00390625" defaultRowHeight="12.75"/>
  <cols>
    <col min="3" max="4" width="13.00390625" style="0" bestFit="1" customWidth="1"/>
  </cols>
  <sheetData>
    <row r="1" spans="1:4" ht="12.75">
      <c r="A1" s="5" t="s">
        <v>34</v>
      </c>
      <c r="B1" s="27"/>
      <c r="C1" s="27"/>
      <c r="D1" s="27"/>
    </row>
    <row r="2" spans="1:4" ht="13.5" thickBot="1">
      <c r="A2" s="4"/>
      <c r="B2" s="4"/>
      <c r="C2" s="4"/>
      <c r="D2" s="4"/>
    </row>
    <row r="3" spans="1:4" ht="12.75">
      <c r="A3" s="28" t="s">
        <v>3</v>
      </c>
      <c r="B3" s="29"/>
      <c r="C3" s="8"/>
      <c r="D3" s="54"/>
    </row>
    <row r="4" spans="1:4" ht="12.75">
      <c r="A4" s="50" t="s">
        <v>48</v>
      </c>
      <c r="B4" s="51"/>
      <c r="C4" s="51"/>
      <c r="D4" s="46">
        <v>435</v>
      </c>
    </row>
    <row r="5" spans="1:4" ht="12.75">
      <c r="A5" s="50" t="s">
        <v>49</v>
      </c>
      <c r="B5" s="51"/>
      <c r="C5" s="51"/>
      <c r="D5" s="46">
        <v>145</v>
      </c>
    </row>
    <row r="6" spans="1:4" ht="12.75">
      <c r="A6" s="50" t="s">
        <v>50</v>
      </c>
      <c r="B6" s="51"/>
      <c r="C6" s="51"/>
      <c r="D6" s="46">
        <v>120</v>
      </c>
    </row>
    <row r="7" spans="1:4" ht="13.5" thickBot="1">
      <c r="A7" s="52" t="s">
        <v>51</v>
      </c>
      <c r="B7" s="53"/>
      <c r="C7" s="53"/>
      <c r="D7" s="49">
        <v>2</v>
      </c>
    </row>
    <row r="8" spans="1:4" ht="12.75">
      <c r="A8" s="35"/>
      <c r="B8" s="35"/>
      <c r="C8" s="35"/>
      <c r="D8" s="14"/>
    </row>
    <row r="9" spans="1:4" ht="12.75" hidden="1">
      <c r="A9" s="14">
        <f>3.14159</f>
        <v>3.14159</v>
      </c>
      <c r="B9" s="14">
        <f>71000/D4</f>
        <v>163.2183908045977</v>
      </c>
      <c r="C9" s="14">
        <f>B9/304.8</f>
        <v>0.5354934081515672</v>
      </c>
      <c r="D9" s="14">
        <f>(234/D5)-C9</f>
        <v>1.0782996952967085</v>
      </c>
    </row>
    <row r="10" spans="1:4" ht="12.75" hidden="1">
      <c r="A10" s="14">
        <f>D6/304.8</f>
        <v>0.39370078740157477</v>
      </c>
      <c r="B10" s="14">
        <f>D7/25.4</f>
        <v>0.07874015748031496</v>
      </c>
      <c r="C10" s="14">
        <f>1/D9</f>
        <v>0.927385961770894</v>
      </c>
      <c r="D10" s="14">
        <f>LN(24*D9/B10)-1</f>
        <v>4.795041268140865</v>
      </c>
    </row>
    <row r="11" spans="1:4" ht="12.75" hidden="1">
      <c r="A11">
        <f>((1-(D5*C9/234))^2)-1</f>
        <v>-0.5535392806954782</v>
      </c>
      <c r="B11">
        <f>1/A10</f>
        <v>2.54</v>
      </c>
      <c r="C11">
        <f>LN(24*A10/B10)-1</f>
        <v>3.787491742782046</v>
      </c>
      <c r="D11">
        <f>((A10*D5/234)^2)-1</f>
        <v>-0.9404835722521179</v>
      </c>
    </row>
    <row r="12" spans="1:3" ht="12.75" hidden="1">
      <c r="A12">
        <f>((10^6)/((68*A9^2)*D5^2))*(C10*D10*A11-B11*C11*D11)</f>
        <v>0.46675425252342484</v>
      </c>
      <c r="B12">
        <f>A12*(1-(D5/D4)^2)</f>
        <v>0.41489266890971094</v>
      </c>
      <c r="C12">
        <f>10^6/(((2*A9*D4)^2)*B12)</f>
        <v>0.3226463244669562</v>
      </c>
    </row>
    <row r="13" spans="1:4" ht="12.75">
      <c r="A13" s="40" t="s">
        <v>55</v>
      </c>
      <c r="B13" s="14"/>
      <c r="C13" s="14"/>
      <c r="D13" s="55"/>
    </row>
    <row r="14" spans="1:4" ht="12.75">
      <c r="A14" s="41" t="s">
        <v>52</v>
      </c>
      <c r="B14" s="42"/>
      <c r="C14" s="42"/>
      <c r="D14" s="56">
        <f>ROUND(B9,1)</f>
        <v>163.2</v>
      </c>
    </row>
    <row r="15" spans="1:4" ht="12.75">
      <c r="A15" s="43" t="s">
        <v>53</v>
      </c>
      <c r="B15" s="43"/>
      <c r="C15" s="43"/>
      <c r="D15" s="57">
        <f>ROUND(B12,2)</f>
        <v>0.41</v>
      </c>
    </row>
    <row r="16" spans="1:4" ht="12.75">
      <c r="A16" s="43" t="s">
        <v>54</v>
      </c>
      <c r="B16" s="43"/>
      <c r="C16" s="43"/>
      <c r="D16" s="57">
        <f>ROUND(C12,2)</f>
        <v>0.32</v>
      </c>
    </row>
    <row r="17" spans="1:9" ht="15" customHeight="1">
      <c r="A17" s="6"/>
      <c r="B17" s="6"/>
      <c r="C17" s="6"/>
      <c r="D17" s="57"/>
      <c r="F17" s="4"/>
      <c r="I17" s="14"/>
    </row>
    <row r="18" spans="1:5" ht="24.75" customHeight="1">
      <c r="A18" s="4" t="s">
        <v>59</v>
      </c>
      <c r="D18" s="14"/>
      <c r="E18" t="s">
        <v>57</v>
      </c>
    </row>
    <row r="19" ht="13.5" customHeight="1">
      <c r="A19" t="s">
        <v>58</v>
      </c>
    </row>
    <row r="20" ht="12" customHeight="1">
      <c r="A20" t="s">
        <v>56</v>
      </c>
    </row>
    <row r="21" ht="12.75">
      <c r="A21" t="s">
        <v>60</v>
      </c>
    </row>
    <row r="22" ht="12.75">
      <c r="A22" t="s">
        <v>61</v>
      </c>
    </row>
  </sheetData>
  <sheetProtection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Исаевич Беспальчик</dc:creator>
  <cp:keywords/>
  <dc:description/>
  <cp:lastModifiedBy>Беспальчик</cp:lastModifiedBy>
  <dcterms:created xsi:type="dcterms:W3CDTF">1999-08-05T06:32:31Z</dcterms:created>
  <dcterms:modified xsi:type="dcterms:W3CDTF">2000-04-14T09:07:52Z</dcterms:modified>
  <cp:category/>
  <cp:version/>
  <cp:contentType/>
  <cp:contentStatus/>
</cp:coreProperties>
</file>